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1910" windowHeight="5160"/>
  </bookViews>
  <sheets>
    <sheet name="Overview" sheetId="2" r:id="rId1"/>
    <sheet name="Option 150" sheetId="3" r:id="rId2"/>
  </sheets>
  <definedNames>
    <definedName name="Aging">Overview!$D$14</definedName>
    <definedName name="BurstWidth">'Option 150'!$D$3</definedName>
    <definedName name="CarrierPeriod">'Option 150'!$D$2</definedName>
    <definedName name="Confidence">Overview!$D$10</definedName>
    <definedName name="FreqIn">Overview!$D$30</definedName>
    <definedName name="Gate_time">Overview!$D$29</definedName>
    <definedName name="Max_RE">Overview!#REF!</definedName>
    <definedName name="Min_RE">Overview!#REF!</definedName>
    <definedName name="Model">Overview!$D$8</definedName>
    <definedName name="Rand_Uncert">Overview!$F$35</definedName>
    <definedName name="RE">Overview!$M$22</definedName>
    <definedName name="RecipMode">Overview!$D$9</definedName>
    <definedName name="Syst_Uncert">Overview!$F$36</definedName>
    <definedName name="Taccuracy">Overview!$M$43</definedName>
    <definedName name="Te">Overview!$D$22</definedName>
    <definedName name="Temperature">Overview!$D$15</definedName>
    <definedName name="TI_Measurement">Overview!$D$32</definedName>
    <definedName name="Timebase">Overview!$D$11</definedName>
    <definedName name="Timebase_Uncert">Overview!$F$37</definedName>
    <definedName name="Tss">Overview!$D$18</definedName>
    <definedName name="Uncertainty">Overview!$D$16</definedName>
    <definedName name="VoltRange">Overview!#REF!</definedName>
  </definedNames>
  <calcPr calcId="125725"/>
</workbook>
</file>

<file path=xl/calcChain.xml><?xml version="1.0" encoding="utf-8"?>
<calcChain xmlns="http://schemas.openxmlformats.org/spreadsheetml/2006/main">
  <c r="E20" i="3"/>
  <c r="F14"/>
  <c r="F21" s="1"/>
  <c r="F15"/>
  <c r="F22" s="1"/>
  <c r="M22" i="2"/>
  <c r="E6" i="3" s="1"/>
  <c r="D32" i="2"/>
  <c r="N10"/>
  <c r="K27"/>
  <c r="D27"/>
  <c r="D26"/>
  <c r="K24"/>
  <c r="K23"/>
  <c r="M42"/>
  <c r="S11"/>
  <c r="S9"/>
  <c r="K11"/>
  <c r="N22"/>
  <c r="O22" s="1"/>
  <c r="M37"/>
  <c r="M36"/>
  <c r="M35"/>
  <c r="L21"/>
  <c r="M21" s="1"/>
  <c r="K21"/>
  <c r="K22"/>
  <c r="K14"/>
  <c r="K13"/>
  <c r="K12"/>
  <c r="D21"/>
  <c r="D18"/>
  <c r="E5" i="3" s="1"/>
  <c r="K15" i="2"/>
  <c r="D22" s="1"/>
  <c r="R10"/>
  <c r="S10"/>
  <c r="R11"/>
  <c r="R15"/>
  <c r="S15"/>
  <c r="R16"/>
  <c r="S16"/>
  <c r="R19"/>
  <c r="S19"/>
  <c r="R20"/>
  <c r="S20"/>
  <c r="K8"/>
  <c r="M43" s="1"/>
  <c r="E13" i="3" s="1"/>
  <c r="K9" i="2"/>
  <c r="K10"/>
  <c r="N8" s="1"/>
  <c r="E12" i="3" l="1"/>
  <c r="E19"/>
  <c r="K28" i="2"/>
  <c r="F42" s="1"/>
  <c r="F41"/>
  <c r="N9"/>
  <c r="F37" l="1"/>
  <c r="N18"/>
  <c r="F35"/>
  <c r="F43" l="1"/>
  <c r="F44" s="1"/>
  <c r="E7" i="3"/>
  <c r="F36" i="2"/>
  <c r="C38"/>
  <c r="F38"/>
  <c r="E8" i="3" s="1"/>
  <c r="E15" s="1"/>
  <c r="E22" s="1"/>
  <c r="F39" i="2"/>
  <c r="E14" i="3" l="1"/>
  <c r="E9"/>
  <c r="F45" i="2"/>
  <c r="E21" i="3" l="1"/>
  <c r="E23" s="1"/>
  <c r="E16"/>
</calcChain>
</file>

<file path=xl/comments1.xml><?xml version="1.0" encoding="utf-8"?>
<comments xmlns="http://schemas.openxmlformats.org/spreadsheetml/2006/main">
  <authors>
    <author>Brad Jolly</author>
  </authors>
  <commentList>
    <comment ref="C10" authorId="0">
      <text>
        <r>
          <rPr>
            <sz val="8"/>
            <color indexed="81"/>
            <rFont val="Tahoma"/>
            <family val="2"/>
          </rPr>
          <t>This is used in calculating the Total uncertainties.  In the formula for Total uncertainty, a Confidence of 95% multiplies the Random Uncertainty by 2, and a Confidence of 99% multiplies the Random Uncertainty by 2.5.</t>
        </r>
      </text>
    </comment>
    <comment ref="C11" authorId="0">
      <text>
        <r>
          <rPr>
            <sz val="8"/>
            <color indexed="81"/>
            <rFont val="Tahoma"/>
            <family val="2"/>
          </rPr>
          <t>The standard instrument timebase is TCXO, and the optional, ultra-high stability timebase is OCXO.</t>
        </r>
      </text>
    </comment>
    <comment ref="C12" authorId="0">
      <text>
        <r>
          <rPr>
            <sz val="8"/>
            <color indexed="81"/>
            <rFont val="Tahoma"/>
            <family val="2"/>
          </rPr>
          <t>You can set this to "User-specifed" to indicate that you will simply enter the timebase uncertainty directly.  Set this to Calculated to have the spreadsheet calculate the uncertainty for you.</t>
        </r>
      </text>
    </comment>
    <comment ref="C14" authorId="0">
      <text>
        <r>
          <rPr>
            <sz val="8"/>
            <color indexed="81"/>
            <rFont val="Tahoma"/>
            <family val="2"/>
          </rPr>
          <t>This refers to the time since the calibration.  This is not relevant unless the "Include Timebase Error?" cell is set to Yes.</t>
        </r>
      </text>
    </comment>
    <comment ref="C15" authorId="0">
      <text>
        <r>
          <rPr>
            <sz val="8"/>
            <color indexed="81"/>
            <rFont val="Tahoma"/>
            <family val="2"/>
          </rPr>
          <t xml:space="preserve">Choose TCAL ± 5ºC if your instrument has been in a controlled temperature environment, such as an office or factory, since calibration.  If your instrument has been in an environment with highly variable temperatures, choose 0ºC to 55ºC rel to 25ºC.
</t>
        </r>
      </text>
    </comment>
    <comment ref="C16" authorId="0">
      <text>
        <r>
          <rPr>
            <sz val="8"/>
            <color indexed="81"/>
            <rFont val="Tahoma"/>
            <family val="2"/>
          </rPr>
          <t>You should be able to obtain this number from your calibration lab.  The calibration uncertainty from the factory is 500 ppb for the TCXO timebase and 50 ppb for the OCXO timebase.  Your calibration lab should be able to improve on these numbers after the instrument has undergone its initial 30-day burn-in period.</t>
        </r>
      </text>
    </comment>
    <comment ref="C17" authorId="0">
      <text>
        <r>
          <rPr>
            <sz val="8"/>
            <color indexed="81"/>
            <rFont val="Tahoma"/>
            <family val="2"/>
          </rPr>
          <t>If your input signal is less than 5 V, use the 5 V range for smallest uncertainty.</t>
        </r>
      </text>
    </comment>
    <comment ref="C18" authorId="0">
      <text>
        <r>
          <rPr>
            <sz val="8"/>
            <color indexed="81"/>
            <rFont val="Tahoma"/>
            <family val="2"/>
          </rPr>
          <t>This will be 100 ps for the 53210A or 53220A, and 20 ps for the 53230A.</t>
        </r>
      </text>
    </comment>
    <comment ref="C19" authorId="0">
      <text>
        <r>
          <rPr>
            <sz val="8"/>
            <color indexed="81"/>
            <rFont val="Tahoma"/>
            <family val="2"/>
          </rPr>
          <t>Be sure the enter a positive number to indicate the maximum distance the input signal is from 0 V, whether positive or negative.  For example, if your input signal goes from -10 V to +5 V, enter 10 in this cell.</t>
        </r>
      </text>
    </comment>
    <comment ref="C20" authorId="0">
      <text>
        <r>
          <rPr>
            <sz val="8"/>
            <color indexed="81"/>
            <rFont val="Tahoma"/>
            <family val="2"/>
          </rPr>
          <t xml:space="preserve">The threshold error for a square wave is defined to be 0.  The threshold error for a sine wave is calculated at the point of the maximum slew rate, based on the frequency, instrument voltage range, and peak voltage of the input signal.  If you wish to calculate based on a different threshold point for a sine wave, choose "Other" for the Waveshape and specify the slope at the threshold in the cell immediately below the waveshape.
</t>
        </r>
      </text>
    </comment>
    <comment ref="C21" authorId="0">
      <text>
        <r>
          <rPr>
            <sz val="8"/>
            <color indexed="81"/>
            <rFont val="Tahoma"/>
            <family val="2"/>
          </rPr>
          <t xml:space="preserve">This is only used if the waveshape is not square or sine.
</t>
        </r>
      </text>
    </comment>
    <comment ref="C22" authorId="0">
      <text>
        <r>
          <rPr>
            <sz val="8"/>
            <color indexed="81"/>
            <rFont val="Tahoma"/>
            <family val="2"/>
          </rPr>
          <t xml:space="preserve">This specification does not include signal noise or inter-channel cross-talk.
</t>
        </r>
      </text>
    </comment>
    <comment ref="C24" authorId="0">
      <text>
        <r>
          <rPr>
            <sz val="8"/>
            <color indexed="81"/>
            <rFont val="Tahoma"/>
            <family val="2"/>
          </rPr>
          <t>This is the threshold setting in Volts for the start of the time interval measurement.</t>
        </r>
      </text>
    </comment>
    <comment ref="C25" authorId="0">
      <text>
        <r>
          <rPr>
            <sz val="8"/>
            <color indexed="81"/>
            <rFont val="Tahoma"/>
            <family val="2"/>
          </rPr>
          <t>This is the threshold setting in Volts for the end (stop) of the time interval measurement.</t>
        </r>
      </text>
    </comment>
    <comment ref="C26" authorId="0">
      <text>
        <r>
          <rPr>
            <sz val="8"/>
            <color indexed="81"/>
            <rFont val="Tahoma"/>
            <family val="2"/>
          </rPr>
          <t xml:space="preserve">
</t>
        </r>
      </text>
    </comment>
    <comment ref="C27" authorId="0">
      <text>
        <r>
          <rPr>
            <sz val="8"/>
            <color indexed="81"/>
            <rFont val="Tahoma"/>
            <family val="2"/>
          </rPr>
          <t>This is the slew rate (slope) of the signal at the end (stop) of the time interval measurement.</t>
        </r>
      </text>
    </comment>
    <comment ref="C32" authorId="0">
      <text>
        <r>
          <rPr>
            <sz val="8"/>
            <color indexed="81"/>
            <rFont val="Tahoma"/>
            <family val="2"/>
          </rPr>
          <t>This is the absolute value of the time interval measurement.</t>
        </r>
      </text>
    </comment>
    <comment ref="D37" authorId="0">
      <text>
        <r>
          <rPr>
            <sz val="8"/>
            <color indexed="81"/>
            <rFont val="Tahoma"/>
            <family val="2"/>
          </rPr>
          <t>You may either specify this directly or have the spreadsheet calculate it based on Aging and Temperature.  Pick the method that you wish to use in the Timebase Uncertainty Method field near the top of the spreadsheet.</t>
        </r>
      </text>
    </comment>
  </commentList>
</comments>
</file>

<file path=xl/sharedStrings.xml><?xml version="1.0" encoding="utf-8"?>
<sst xmlns="http://schemas.openxmlformats.org/spreadsheetml/2006/main" count="126" uniqueCount="88">
  <si>
    <t>Timebase</t>
  </si>
  <si>
    <t>Standard
TCXO</t>
  </si>
  <si>
    <t>Option 010
Ultra-high stability OCXO</t>
  </si>
  <si>
    <r>
      <t>Aging</t>
    </r>
    <r>
      <rPr>
        <b/>
        <vertAlign val="superscript"/>
        <sz val="10"/>
        <rFont val="Arial"/>
        <family val="2"/>
      </rPr>
      <t xml:space="preserve">1 </t>
    </r>
    <r>
      <rPr>
        <b/>
        <sz val="10"/>
        <rFont val="Arial"/>
        <family val="2"/>
      </rPr>
      <t>(spec)</t>
    </r>
  </si>
  <si>
    <r>
      <t>24-hour, T</t>
    </r>
    <r>
      <rPr>
        <vertAlign val="subscript"/>
        <sz val="10"/>
        <rFont val="Arial"/>
        <family val="2"/>
      </rPr>
      <t>CAL</t>
    </r>
    <r>
      <rPr>
        <sz val="10"/>
        <rFont val="Arial"/>
        <family val="2"/>
      </rPr>
      <t xml:space="preserve"> ±1ºC</t>
    </r>
  </si>
  <si>
    <r>
      <t>30-day,  T</t>
    </r>
    <r>
      <rPr>
        <vertAlign val="subscript"/>
        <sz val="10"/>
        <rFont val="Arial"/>
        <family val="2"/>
      </rPr>
      <t>CAL</t>
    </r>
    <r>
      <rPr>
        <sz val="10"/>
        <rFont val="Arial"/>
        <family val="2"/>
      </rPr>
      <t xml:space="preserve"> ±5ºC</t>
    </r>
  </si>
  <si>
    <r>
      <t>1-year,   T</t>
    </r>
    <r>
      <rPr>
        <vertAlign val="subscript"/>
        <sz val="10"/>
        <rFont val="Arial"/>
        <family val="2"/>
      </rPr>
      <t>CAL</t>
    </r>
    <r>
      <rPr>
        <sz val="10"/>
        <rFont val="Arial"/>
        <family val="2"/>
      </rPr>
      <t xml:space="preserve"> ±5ºC</t>
    </r>
  </si>
  <si>
    <t>Temperature (typ)</t>
  </si>
  <si>
    <t>0ºC to 55ºC relative to 25ºC</t>
  </si>
  <si>
    <r>
      <t>T</t>
    </r>
    <r>
      <rPr>
        <vertAlign val="subscript"/>
        <sz val="10"/>
        <rFont val="Arial"/>
        <family val="2"/>
      </rPr>
      <t>CAL</t>
    </r>
    <r>
      <rPr>
        <sz val="10"/>
        <rFont val="Arial"/>
        <family val="2"/>
      </rPr>
      <t xml:space="preserve"> </t>
    </r>
    <r>
      <rPr>
        <sz val="10"/>
        <rFont val="Agilent TT Cond"/>
        <family val="2"/>
      </rPr>
      <t>± 5</t>
    </r>
    <r>
      <rPr>
        <sz val="10"/>
        <rFont val="Arial"/>
        <family val="2"/>
      </rPr>
      <t>ºC</t>
    </r>
  </si>
  <si>
    <r>
      <t>Calibration Uncertainty</t>
    </r>
    <r>
      <rPr>
        <b/>
        <vertAlign val="superscript"/>
        <sz val="10"/>
        <rFont val="Arial"/>
        <family val="2"/>
      </rPr>
      <t>2</t>
    </r>
  </si>
  <si>
    <t>Settability Error</t>
  </si>
  <si>
    <t>Initial Factory Calibration (typ)</t>
  </si>
  <si>
    <t>No specification available</t>
  </si>
  <si>
    <t>Timebase Uncertainty:</t>
  </si>
  <si>
    <t>ppm</t>
  </si>
  <si>
    <t>53210A</t>
  </si>
  <si>
    <t>53220A</t>
  </si>
  <si>
    <t>53230A</t>
  </si>
  <si>
    <t>RE</t>
  </si>
  <si>
    <t>use RE eqn</t>
  </si>
  <si>
    <t>TSS (ps)</t>
  </si>
  <si>
    <t>skew (ps)</t>
  </si>
  <si>
    <t>Taccuracy (ps)</t>
  </si>
  <si>
    <t>Not avail</t>
  </si>
  <si>
    <t>Agilent 53200 Series</t>
  </si>
  <si>
    <t>Random Uncertainty:</t>
  </si>
  <si>
    <t>Systematic Uncertainty:</t>
  </si>
  <si>
    <t>Hz</t>
  </si>
  <si>
    <t>sec</t>
  </si>
  <si>
    <t>Total:</t>
  </si>
  <si>
    <t>picoseconds</t>
  </si>
  <si>
    <t>Re Table</t>
  </si>
  <si>
    <t>Frequency or Period (parts error)</t>
  </si>
  <si>
    <t>sec (must be positive)</t>
  </si>
  <si>
    <t>Uncertainty Calculator</t>
  </si>
  <si>
    <t>0ºC to 55ºC rel to 25ºC</t>
  </si>
  <si>
    <t>V/sec.</t>
  </si>
  <si>
    <t>5 V</t>
  </si>
  <si>
    <t>V</t>
  </si>
  <si>
    <t>Single-channel</t>
  </si>
  <si>
    <t>Timebase - TXCO (standard) or OCXO (Opt 010):</t>
  </si>
  <si>
    <t>1-year</t>
  </si>
  <si>
    <t>Use this Timebase Uncertainty Value:</t>
  </si>
  <si>
    <t>Timebase Uncertainty Method:</t>
  </si>
  <si>
    <t>Skew</t>
  </si>
  <si>
    <t>Taccuracy</t>
  </si>
  <si>
    <t>Noise Reject:</t>
  </si>
  <si>
    <t>Gate time:</t>
  </si>
  <si>
    <t>Frequency of Input Signal:</t>
  </si>
  <si>
    <t>Time Interval Measurement:</t>
  </si>
  <si>
    <t>Type of Time Interval Measurement:</t>
  </si>
  <si>
    <t>Slope at Threshold ("Other" waveshape only):</t>
  </si>
  <si>
    <t>Waveshape:</t>
  </si>
  <si>
    <t>Peak Input Signal Voltage:</t>
  </si>
  <si>
    <t>Voltage Range:</t>
  </si>
  <si>
    <t>Aging:</t>
  </si>
  <si>
    <t>Temperature:</t>
  </si>
  <si>
    <t>Instrument Model:</t>
  </si>
  <si>
    <t>Confidence Level:</t>
  </si>
  <si>
    <t>Threshold Level Setting - Stop:</t>
  </si>
  <si>
    <t>TLTE</t>
  </si>
  <si>
    <t>VH</t>
  </si>
  <si>
    <t>ppb</t>
  </si>
  <si>
    <t>Calibration Uncertainty:</t>
  </si>
  <si>
    <t>www.agilent.com/find/FrequencyCounters</t>
  </si>
  <si>
    <t>www.agilent.com/find/FrequencyCounterSpotlight</t>
  </si>
  <si>
    <t>Square Wave</t>
  </si>
  <si>
    <t>Off</t>
  </si>
  <si>
    <t>Yes</t>
  </si>
  <si>
    <t>OCXO</t>
  </si>
  <si>
    <t>Minimum Pulse Width (Positive or Negative):</t>
  </si>
  <si>
    <t>Threshold Level Setting - Start:</t>
  </si>
  <si>
    <r>
      <t>Threshold Error (T</t>
    </r>
    <r>
      <rPr>
        <sz val="8"/>
        <color theme="1"/>
        <rFont val="Agilent TT Cond"/>
        <family val="2"/>
      </rPr>
      <t>e</t>
    </r>
    <r>
      <rPr>
        <sz val="11"/>
        <color theme="1"/>
        <rFont val="Agilent TT Cond"/>
        <family val="2"/>
      </rPr>
      <t>):</t>
    </r>
  </si>
  <si>
    <r>
      <t>Include Threshold Level Timing Error (T</t>
    </r>
    <r>
      <rPr>
        <sz val="8"/>
        <color theme="1"/>
        <rFont val="Agilent TT Cond"/>
        <family val="2"/>
      </rPr>
      <t>LTE</t>
    </r>
    <r>
      <rPr>
        <sz val="11"/>
        <color theme="1"/>
        <rFont val="Agilent TT Cond"/>
        <family val="2"/>
      </rPr>
      <t>):</t>
    </r>
  </si>
  <si>
    <r>
      <t>Slew Rate - Start (SR</t>
    </r>
    <r>
      <rPr>
        <sz val="8"/>
        <color theme="1"/>
        <rFont val="Agilent TT Cond"/>
        <family val="2"/>
      </rPr>
      <t>Start</t>
    </r>
    <r>
      <rPr>
        <sz val="11"/>
        <color theme="1"/>
        <rFont val="Agilent TT Cond"/>
        <family val="2"/>
      </rPr>
      <t>):</t>
    </r>
  </si>
  <si>
    <r>
      <t>Slew Rate - Stop (SR</t>
    </r>
    <r>
      <rPr>
        <sz val="8"/>
        <color theme="1"/>
        <rFont val="Agilent TT Cond"/>
        <family val="2"/>
      </rPr>
      <t>Stop</t>
    </r>
    <r>
      <rPr>
        <sz val="11"/>
        <color theme="1"/>
        <rFont val="Agilent TT Cond"/>
        <family val="2"/>
      </rPr>
      <t>):</t>
    </r>
  </si>
  <si>
    <r>
      <t xml:space="preserve">Time Interval (TI), Width, or Rise/Fall Time (parts error)
</t>
    </r>
    <r>
      <rPr>
        <b/>
        <sz val="11"/>
        <color theme="1"/>
        <rFont val="Agilent TT Cond"/>
        <family val="2"/>
      </rPr>
      <t>These apply to 53220A and 53230A only.</t>
    </r>
    <r>
      <rPr>
        <sz val="11"/>
        <color theme="1"/>
        <rFont val="Agilent TT Cond"/>
        <family val="2"/>
      </rPr>
      <t xml:space="preserve"> </t>
    </r>
  </si>
  <si>
    <r>
      <t xml:space="preserve">(Applies to 5 V range, 50 </t>
    </r>
    <r>
      <rPr>
        <b/>
        <sz val="12"/>
        <color theme="1"/>
        <rFont val="Symbol"/>
        <family val="1"/>
        <charset val="2"/>
      </rPr>
      <t>W</t>
    </r>
    <r>
      <rPr>
        <b/>
        <sz val="12"/>
        <color theme="1"/>
        <rFont val="Agilent TT Cond"/>
        <family val="2"/>
      </rPr>
      <t xml:space="preserve"> impedance, DC Coupling, fixed leveling.)</t>
    </r>
  </si>
  <si>
    <t>RECiprocal Mode:</t>
  </si>
  <si>
    <t>PRF,PRI (parts error)</t>
  </si>
  <si>
    <t>Pulse/Burst Carrier Frequency
(Narrow Mode) (parts error)</t>
  </si>
  <si>
    <t>Pulse/Burst Carrier Frequency
(Wide Mode) (parts error)</t>
  </si>
  <si>
    <t>Burst Width:</t>
  </si>
  <si>
    <t>Carrier Period:</t>
  </si>
  <si>
    <t>BETA VERSION</t>
  </si>
  <si>
    <t>Calculated</t>
  </si>
  <si>
    <r>
      <t>Single Shot Timing (T</t>
    </r>
    <r>
      <rPr>
        <sz val="8"/>
        <color theme="1"/>
        <rFont val="Agilent TT Cond"/>
        <family val="2"/>
      </rPr>
      <t>ss</t>
    </r>
    <r>
      <rPr>
        <sz val="11"/>
        <color theme="1"/>
        <rFont val="Agilent TT Cond"/>
        <family val="2"/>
      </rPr>
      <t>):</t>
    </r>
  </si>
</sst>
</file>

<file path=xl/styles.xml><?xml version="1.0" encoding="utf-8"?>
<styleSheet xmlns="http://schemas.openxmlformats.org/spreadsheetml/2006/main">
  <numFmts count="7">
    <numFmt numFmtId="43" formatCode="_(* #,##0.00_);_(* \(#,##0.00\);_(* &quot;-&quot;??_);_(@_)"/>
    <numFmt numFmtId="164" formatCode="_(* #,##0_);_(* \(#,##0\);_(* &quot;-&quot;??_);_(@_)"/>
    <numFmt numFmtId="165" formatCode="0.000000000000000"/>
    <numFmt numFmtId="166" formatCode="0.00000"/>
    <numFmt numFmtId="167" formatCode="0.000000000000E+00"/>
    <numFmt numFmtId="168" formatCode="0.000000000"/>
    <numFmt numFmtId="169" formatCode="0.000000E+00"/>
  </numFmts>
  <fonts count="18">
    <font>
      <sz val="11"/>
      <color theme="1"/>
      <name val="Calibri"/>
      <family val="2"/>
      <scheme val="minor"/>
    </font>
    <font>
      <b/>
      <sz val="10"/>
      <name val="Arial"/>
      <family val="2"/>
    </font>
    <font>
      <sz val="10"/>
      <name val="Arial"/>
      <family val="2"/>
    </font>
    <font>
      <b/>
      <vertAlign val="superscript"/>
      <sz val="10"/>
      <name val="Arial"/>
      <family val="2"/>
    </font>
    <font>
      <vertAlign val="subscript"/>
      <sz val="10"/>
      <name val="Arial"/>
      <family val="2"/>
    </font>
    <font>
      <sz val="10"/>
      <name val="Agilent TT Cond"/>
      <family val="2"/>
    </font>
    <font>
      <sz val="11"/>
      <color rgb="FF006100"/>
      <name val="Calibri"/>
      <family val="2"/>
      <scheme val="minor"/>
    </font>
    <font>
      <sz val="11"/>
      <color theme="1"/>
      <name val="Calibri"/>
      <family val="2"/>
      <scheme val="minor"/>
    </font>
    <font>
      <sz val="8"/>
      <color indexed="81"/>
      <name val="Tahoma"/>
      <family val="2"/>
    </font>
    <font>
      <u/>
      <sz val="14.3"/>
      <color theme="10"/>
      <name val="Calibri"/>
      <family val="2"/>
    </font>
    <font>
      <sz val="11"/>
      <color theme="1"/>
      <name val="Agilent TT Cond"/>
      <family val="2"/>
    </font>
    <font>
      <u/>
      <sz val="10"/>
      <color theme="10"/>
      <name val="Agilent TT Cond"/>
      <family val="2"/>
    </font>
    <font>
      <b/>
      <sz val="18"/>
      <color theme="1"/>
      <name val="Agilent TT Cond"/>
      <family val="2"/>
    </font>
    <font>
      <sz val="8"/>
      <color theme="1"/>
      <name val="Agilent TT Cond"/>
      <family val="2"/>
    </font>
    <font>
      <b/>
      <sz val="11"/>
      <color theme="1"/>
      <name val="Agilent TT Cond"/>
      <family val="2"/>
    </font>
    <font>
      <b/>
      <sz val="12"/>
      <color theme="1"/>
      <name val="Agilent TT Cond"/>
      <family val="2"/>
    </font>
    <font>
      <b/>
      <sz val="12"/>
      <color theme="1"/>
      <name val="Symbol"/>
      <family val="1"/>
      <charset val="2"/>
    </font>
    <font>
      <b/>
      <sz val="11"/>
      <color rgb="FFFF0000"/>
      <name val="Agilent TT Cond"/>
      <family val="2"/>
    </font>
  </fonts>
  <fills count="12">
    <fill>
      <patternFill patternType="none"/>
    </fill>
    <fill>
      <patternFill patternType="gray125"/>
    </fill>
    <fill>
      <patternFill patternType="solid">
        <fgColor indexed="22"/>
        <bgColor indexed="64"/>
      </patternFill>
    </fill>
    <fill>
      <patternFill patternType="solid">
        <fgColor rgb="FFC6EFCE"/>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7">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6" fillId="3" borderId="0" applyNumberFormat="0" applyBorder="0" applyAlignment="0" applyProtection="0"/>
    <xf numFmtId="43" fontId="7" fillId="0" borderId="0" applyFont="0" applyFill="0" applyBorder="0" applyAlignment="0" applyProtection="0"/>
    <xf numFmtId="0" fontId="9" fillId="0" borderId="0" applyNumberFormat="0" applyFill="0" applyBorder="0" applyAlignment="0" applyProtection="0">
      <alignment vertical="top"/>
      <protection locked="0"/>
    </xf>
  </cellStyleXfs>
  <cellXfs count="80">
    <xf numFmtId="0" fontId="0" fillId="0" borderId="0" xfId="0"/>
    <xf numFmtId="0" fontId="1" fillId="2" borderId="0" xfId="0" applyFont="1" applyFill="1" applyBorder="1" applyAlignment="1">
      <alignment vertical="center"/>
    </xf>
    <xf numFmtId="0" fontId="2" fillId="2" borderId="0" xfId="0" applyFont="1" applyFill="1" applyBorder="1"/>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0" borderId="3" xfId="0" applyFont="1" applyBorder="1"/>
    <xf numFmtId="0" fontId="2" fillId="0" borderId="3" xfId="0" applyFont="1" applyBorder="1"/>
    <xf numFmtId="0" fontId="2" fillId="0" borderId="3" xfId="0" applyFont="1" applyBorder="1" applyAlignment="1">
      <alignment horizontal="center"/>
    </xf>
    <xf numFmtId="0" fontId="0" fillId="0" borderId="3" xfId="0" applyBorder="1" applyAlignment="1">
      <alignment horizontal="center"/>
    </xf>
    <xf numFmtId="0" fontId="1" fillId="0" borderId="0" xfId="0" applyFont="1" applyBorder="1"/>
    <xf numFmtId="0" fontId="2" fillId="0" borderId="0" xfId="0" applyFont="1" applyFill="1" applyBorder="1"/>
    <xf numFmtId="0" fontId="0" fillId="0" borderId="0" xfId="0" applyBorder="1"/>
    <xf numFmtId="0" fontId="2" fillId="0" borderId="0" xfId="0" applyFont="1" applyBorder="1"/>
    <xf numFmtId="11" fontId="2" fillId="0" borderId="0" xfId="0" applyNumberFormat="1" applyFont="1" applyBorder="1" applyAlignment="1">
      <alignment horizontal="center"/>
    </xf>
    <xf numFmtId="11" fontId="2" fillId="0" borderId="4" xfId="0" applyNumberFormat="1" applyFont="1" applyBorder="1" applyAlignment="1">
      <alignment horizontal="center"/>
    </xf>
    <xf numFmtId="11" fontId="0" fillId="0" borderId="0" xfId="0" applyNumberFormat="1" applyBorder="1" applyAlignment="1">
      <alignment horizontal="center"/>
    </xf>
    <xf numFmtId="11" fontId="2" fillId="0" borderId="3" xfId="0" applyNumberFormat="1" applyFont="1" applyBorder="1" applyAlignment="1">
      <alignment horizontal="center"/>
    </xf>
    <xf numFmtId="11" fontId="0" fillId="0" borderId="3" xfId="0" applyNumberFormat="1" applyBorder="1" applyAlignment="1">
      <alignment horizontal="center"/>
    </xf>
    <xf numFmtId="0" fontId="6" fillId="3" borderId="0" xfId="1"/>
    <xf numFmtId="165" fontId="0" fillId="0" borderId="0" xfId="0" applyNumberFormat="1"/>
    <xf numFmtId="0" fontId="0" fillId="0" borderId="0" xfId="0" applyAlignment="1">
      <alignment horizontal="right"/>
    </xf>
    <xf numFmtId="168" fontId="0" fillId="0" borderId="0" xfId="0" applyNumberFormat="1"/>
    <xf numFmtId="0" fontId="10" fillId="0" borderId="0" xfId="0" applyFont="1"/>
    <xf numFmtId="0" fontId="11" fillId="0" borderId="0" xfId="3" applyFont="1" applyAlignment="1" applyProtection="1"/>
    <xf numFmtId="0" fontId="10" fillId="5" borderId="7" xfId="0" applyFont="1" applyFill="1" applyBorder="1"/>
    <xf numFmtId="0" fontId="10" fillId="5" borderId="6" xfId="0" applyFont="1" applyFill="1" applyBorder="1"/>
    <xf numFmtId="0" fontId="10" fillId="5" borderId="8" xfId="0" applyFont="1" applyFill="1" applyBorder="1"/>
    <xf numFmtId="0" fontId="10" fillId="5" borderId="9" xfId="0" applyFont="1" applyFill="1" applyBorder="1"/>
    <xf numFmtId="0" fontId="10" fillId="5" borderId="0" xfId="0" applyFont="1" applyFill="1" applyBorder="1"/>
    <xf numFmtId="0" fontId="10" fillId="6" borderId="5" xfId="0" applyFont="1" applyFill="1" applyBorder="1" applyAlignment="1" applyProtection="1">
      <alignment horizontal="left"/>
      <protection locked="0"/>
    </xf>
    <xf numFmtId="0" fontId="10" fillId="5" borderId="10" xfId="0" applyFont="1" applyFill="1" applyBorder="1"/>
    <xf numFmtId="9" fontId="10" fillId="6" borderId="5" xfId="0" applyNumberFormat="1" applyFont="1" applyFill="1" applyBorder="1" applyAlignment="1" applyProtection="1">
      <alignment horizontal="left"/>
      <protection locked="0"/>
    </xf>
    <xf numFmtId="0" fontId="10" fillId="6" borderId="5" xfId="0" applyFont="1" applyFill="1" applyBorder="1" applyProtection="1">
      <protection locked="0"/>
    </xf>
    <xf numFmtId="164" fontId="10" fillId="6" borderId="5" xfId="2" applyNumberFormat="1" applyFont="1" applyFill="1" applyBorder="1" applyProtection="1">
      <protection locked="0"/>
    </xf>
    <xf numFmtId="166" fontId="10" fillId="5" borderId="0" xfId="0" applyNumberFormat="1" applyFont="1" applyFill="1" applyBorder="1"/>
    <xf numFmtId="0" fontId="10" fillId="0" borderId="5" xfId="0" applyFont="1" applyBorder="1" applyProtection="1">
      <protection locked="0"/>
    </xf>
    <xf numFmtId="167" fontId="10" fillId="6" borderId="5" xfId="2" applyNumberFormat="1" applyFont="1" applyFill="1" applyBorder="1" applyProtection="1">
      <protection locked="0"/>
    </xf>
    <xf numFmtId="0" fontId="10" fillId="5" borderId="0" xfId="0" applyFont="1" applyFill="1" applyBorder="1" applyAlignment="1">
      <alignment horizontal="right"/>
    </xf>
    <xf numFmtId="0" fontId="10" fillId="7" borderId="0" xfId="0" applyFont="1" applyFill="1" applyBorder="1" applyAlignment="1">
      <alignment horizontal="right"/>
    </xf>
    <xf numFmtId="0" fontId="10" fillId="7" borderId="0" xfId="0" applyFont="1" applyFill="1" applyBorder="1"/>
    <xf numFmtId="0" fontId="14" fillId="7" borderId="0" xfId="0" applyFont="1" applyFill="1" applyBorder="1"/>
    <xf numFmtId="0" fontId="10" fillId="7" borderId="0" xfId="0" applyFont="1" applyFill="1" applyBorder="1" applyAlignment="1">
      <alignment horizontal="center" vertical="center" wrapText="1"/>
    </xf>
    <xf numFmtId="0" fontId="10" fillId="7" borderId="0" xfId="0" applyFont="1" applyFill="1" applyBorder="1" applyAlignment="1">
      <alignment horizontal="right" wrapText="1"/>
    </xf>
    <xf numFmtId="0" fontId="14" fillId="5" borderId="0" xfId="0" applyFont="1" applyFill="1" applyBorder="1"/>
    <xf numFmtId="0" fontId="10" fillId="8" borderId="0" xfId="0" applyFont="1" applyFill="1" applyBorder="1" applyAlignment="1">
      <alignment horizontal="right"/>
    </xf>
    <xf numFmtId="0" fontId="14" fillId="8" borderId="0" xfId="0" applyFont="1" applyFill="1" applyBorder="1"/>
    <xf numFmtId="0" fontId="14" fillId="8" borderId="0" xfId="0" applyFont="1" applyFill="1" applyBorder="1" applyAlignment="1">
      <alignment horizontal="center" vertical="center" wrapText="1"/>
    </xf>
    <xf numFmtId="0" fontId="10" fillId="8" borderId="0" xfId="0" applyFont="1" applyFill="1" applyBorder="1" applyAlignment="1">
      <alignment horizontal="right" wrapText="1"/>
    </xf>
    <xf numFmtId="0" fontId="10" fillId="5" borderId="11" xfId="0" applyFont="1" applyFill="1" applyBorder="1"/>
    <xf numFmtId="0" fontId="14" fillId="8" borderId="12" xfId="0" applyFont="1" applyFill="1" applyBorder="1"/>
    <xf numFmtId="0" fontId="10" fillId="5" borderId="13" xfId="0" applyFont="1" applyFill="1" applyBorder="1"/>
    <xf numFmtId="0" fontId="10" fillId="5" borderId="0" xfId="0" applyFont="1" applyFill="1"/>
    <xf numFmtId="0" fontId="10" fillId="9" borderId="0" xfId="0" applyFont="1" applyFill="1"/>
    <xf numFmtId="0" fontId="14" fillId="9" borderId="0" xfId="0" applyFont="1" applyFill="1"/>
    <xf numFmtId="0" fontId="10" fillId="10" borderId="0" xfId="0" applyFont="1" applyFill="1"/>
    <xf numFmtId="0" fontId="14" fillId="10" borderId="0" xfId="0" applyFont="1" applyFill="1"/>
    <xf numFmtId="0" fontId="10" fillId="11" borderId="0" xfId="0" applyFont="1" applyFill="1"/>
    <xf numFmtId="0" fontId="14" fillId="11" borderId="0" xfId="0" applyFont="1" applyFill="1"/>
    <xf numFmtId="169" fontId="10" fillId="5" borderId="0" xfId="0" applyNumberFormat="1" applyFont="1" applyFill="1"/>
    <xf numFmtId="167" fontId="10" fillId="6" borderId="5" xfId="0" applyNumberFormat="1" applyFont="1" applyFill="1" applyBorder="1"/>
    <xf numFmtId="0" fontId="10" fillId="5" borderId="0" xfId="0" applyFont="1" applyFill="1" applyAlignment="1">
      <alignment horizontal="right"/>
    </xf>
    <xf numFmtId="0" fontId="17" fillId="0" borderId="0" xfId="0" applyFont="1"/>
    <xf numFmtId="0" fontId="12" fillId="4" borderId="7" xfId="0" applyFont="1" applyFill="1" applyBorder="1" applyAlignment="1">
      <alignment horizontal="center"/>
    </xf>
    <xf numFmtId="0" fontId="12" fillId="4" borderId="6" xfId="0" applyFont="1" applyFill="1" applyBorder="1" applyAlignment="1">
      <alignment horizontal="center"/>
    </xf>
    <xf numFmtId="0" fontId="12" fillId="4" borderId="8" xfId="0" applyFont="1" applyFill="1" applyBorder="1" applyAlignment="1">
      <alignment horizontal="center"/>
    </xf>
    <xf numFmtId="0" fontId="12" fillId="4" borderId="9" xfId="0" applyFont="1" applyFill="1" applyBorder="1" applyAlignment="1">
      <alignment horizontal="center"/>
    </xf>
    <xf numFmtId="0" fontId="12" fillId="4" borderId="0" xfId="0" applyFont="1" applyFill="1" applyBorder="1" applyAlignment="1">
      <alignment horizontal="center"/>
    </xf>
    <xf numFmtId="0" fontId="12" fillId="4" borderId="10" xfId="0" applyFont="1" applyFill="1" applyBorder="1" applyAlignment="1">
      <alignment horizontal="center"/>
    </xf>
    <xf numFmtId="0" fontId="10" fillId="7" borderId="14"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5" fillId="8" borderId="12" xfId="0" applyFont="1" applyFill="1" applyBorder="1" applyAlignment="1">
      <alignment horizontal="center"/>
    </xf>
    <xf numFmtId="0" fontId="10" fillId="9" borderId="0" xfId="0" applyFont="1" applyFill="1" applyAlignment="1">
      <alignment horizontal="center" vertical="center"/>
    </xf>
    <xf numFmtId="0" fontId="10" fillId="11" borderId="0" xfId="0" applyFont="1" applyFill="1" applyAlignment="1">
      <alignment horizontal="center" vertical="center" wrapText="1"/>
    </xf>
    <xf numFmtId="0" fontId="10" fillId="11" borderId="0" xfId="0" applyFont="1" applyFill="1" applyAlignment="1">
      <alignment horizontal="center" vertical="center"/>
    </xf>
    <xf numFmtId="0" fontId="10" fillId="10" borderId="0" xfId="0" applyFont="1" applyFill="1" applyAlignment="1">
      <alignment horizontal="center" vertical="center" wrapText="1"/>
    </xf>
    <xf numFmtId="0" fontId="10" fillId="10" borderId="0" xfId="0" applyFont="1" applyFill="1" applyAlignment="1">
      <alignment horizontal="center" vertical="center"/>
    </xf>
  </cellXfs>
  <cellStyles count="4">
    <cellStyle name="Comma" xfId="2" builtinId="3"/>
    <cellStyle name="Good" xfId="1" builtinId="26"/>
    <cellStyle name="Hyperlink" xfId="3" builtinId="8"/>
    <cellStyle name="Normal" xfId="0" builtinId="0"/>
  </cellStyles>
  <dxfs count="8">
    <dxf>
      <font>
        <color theme="1" tint="0.499984740745262"/>
      </font>
      <fill>
        <patternFill>
          <bgColor theme="1" tint="0.499984740745262"/>
        </patternFill>
      </fill>
    </dxf>
    <dxf>
      <font>
        <color theme="8" tint="0.79998168889431442"/>
      </font>
    </dxf>
    <dxf>
      <font>
        <color theme="8" tint="0.79998168889431442"/>
      </font>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gilent.com/find/FrequencyCounterSpotlight" TargetMode="External"/><Relationship Id="rId1" Type="http://schemas.openxmlformats.org/officeDocument/2006/relationships/hyperlink" Target="http://www.agilent.com/find/FrequencyCounter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S49"/>
  <sheetViews>
    <sheetView showGridLines="0" tabSelected="1" zoomScale="120" zoomScaleNormal="120" workbookViewId="0">
      <selection activeCell="C19" sqref="C19"/>
    </sheetView>
  </sheetViews>
  <sheetFormatPr defaultRowHeight="14.25" customHeight="1"/>
  <cols>
    <col min="1" max="1" width="4.140625" customWidth="1"/>
    <col min="2" max="2" width="3.28515625" customWidth="1"/>
    <col min="3" max="3" width="52.42578125" customWidth="1"/>
    <col min="4" max="4" width="24" customWidth="1"/>
    <col min="5" max="5" width="11.5703125" customWidth="1"/>
    <col min="6" max="6" width="18.42578125" customWidth="1"/>
    <col min="7" max="7" width="6.140625" customWidth="1"/>
    <col min="8" max="8" width="1.42578125" customWidth="1"/>
    <col min="9" max="10" width="19.5703125" customWidth="1"/>
    <col min="11" max="13" width="10" customWidth="1"/>
    <col min="14" max="14" width="13.5703125" customWidth="1"/>
    <col min="15" max="16" width="10" customWidth="1"/>
  </cols>
  <sheetData>
    <row r="1" spans="1:19" ht="14.25" customHeight="1">
      <c r="A1" s="22"/>
      <c r="B1" s="22"/>
      <c r="C1" s="22"/>
      <c r="D1" s="22"/>
      <c r="E1" s="22"/>
      <c r="F1" s="22"/>
      <c r="G1" s="22"/>
      <c r="H1" s="22"/>
    </row>
    <row r="2" spans="1:19" ht="14.25" customHeight="1">
      <c r="A2" s="22"/>
      <c r="B2" s="23" t="s">
        <v>65</v>
      </c>
      <c r="C2" s="22"/>
      <c r="D2" s="61" t="s">
        <v>85</v>
      </c>
      <c r="E2" s="22"/>
      <c r="F2" s="22"/>
      <c r="G2" s="22"/>
      <c r="H2" s="22"/>
    </row>
    <row r="3" spans="1:19" ht="14.25" customHeight="1">
      <c r="A3" s="22"/>
      <c r="B3" s="23" t="s">
        <v>66</v>
      </c>
      <c r="C3" s="22"/>
      <c r="D3" s="22"/>
      <c r="E3" s="22"/>
      <c r="F3" s="22"/>
      <c r="G3" s="22"/>
      <c r="H3" s="22"/>
    </row>
    <row r="4" spans="1:19" ht="14.25" customHeight="1" thickBot="1">
      <c r="A4" s="22"/>
      <c r="B4" s="22"/>
      <c r="C4" s="22"/>
      <c r="D4" s="22"/>
      <c r="E4" s="22"/>
      <c r="F4" s="22"/>
      <c r="G4" s="22"/>
      <c r="H4" s="22"/>
    </row>
    <row r="5" spans="1:19" ht="25.5" customHeight="1" thickTop="1">
      <c r="A5" s="22"/>
      <c r="B5" s="62" t="s">
        <v>25</v>
      </c>
      <c r="C5" s="63"/>
      <c r="D5" s="63"/>
      <c r="E5" s="63"/>
      <c r="F5" s="63"/>
      <c r="G5" s="63"/>
      <c r="H5" s="64"/>
    </row>
    <row r="6" spans="1:19" ht="25.5" customHeight="1" thickBot="1">
      <c r="A6" s="22"/>
      <c r="B6" s="65" t="s">
        <v>35</v>
      </c>
      <c r="C6" s="66"/>
      <c r="D6" s="66"/>
      <c r="E6" s="66"/>
      <c r="F6" s="66"/>
      <c r="G6" s="66"/>
      <c r="H6" s="67"/>
    </row>
    <row r="7" spans="1:19" ht="7.5" customHeight="1" thickTop="1">
      <c r="A7" s="22"/>
      <c r="B7" s="24"/>
      <c r="C7" s="25"/>
      <c r="D7" s="25"/>
      <c r="E7" s="25"/>
      <c r="F7" s="25"/>
      <c r="G7" s="25"/>
      <c r="H7" s="26"/>
      <c r="P7" s="1" t="s">
        <v>0</v>
      </c>
      <c r="Q7" s="2"/>
      <c r="R7" s="3" t="s">
        <v>1</v>
      </c>
      <c r="S7" s="4" t="s">
        <v>2</v>
      </c>
    </row>
    <row r="8" spans="1:19" ht="14.25" customHeight="1">
      <c r="A8" s="22"/>
      <c r="B8" s="27"/>
      <c r="C8" s="28" t="s">
        <v>58</v>
      </c>
      <c r="D8" s="29" t="s">
        <v>17</v>
      </c>
      <c r="E8" s="28"/>
      <c r="F8" s="28"/>
      <c r="G8" s="28"/>
      <c r="H8" s="30"/>
      <c r="K8">
        <f>IF(D8="53210A",1,IF(D8="53220A",2,IF(D8="53230A",3,"error")))</f>
        <v>2</v>
      </c>
      <c r="N8" s="21">
        <f>INDEX(R9:S11,K12,K10)</f>
        <v>4.9999999999999998E-8</v>
      </c>
      <c r="P8" s="5" t="s">
        <v>3</v>
      </c>
      <c r="Q8" s="6"/>
      <c r="R8" s="7"/>
      <c r="S8" s="8"/>
    </row>
    <row r="9" spans="1:19" ht="14.25" customHeight="1">
      <c r="A9" s="22"/>
      <c r="B9" s="27"/>
      <c r="C9" s="28" t="s">
        <v>79</v>
      </c>
      <c r="D9" s="29" t="s">
        <v>69</v>
      </c>
      <c r="E9" s="28"/>
      <c r="F9" s="28"/>
      <c r="G9" s="28"/>
      <c r="H9" s="30"/>
      <c r="K9">
        <f>IF(D10=95%,2,IF(D10=99%,2.5,"error"))</f>
        <v>2.5</v>
      </c>
      <c r="N9" s="21">
        <f>INDEX(R15:S16,K13,K10)</f>
        <v>5.0000000000000001E-9</v>
      </c>
      <c r="P9" s="9"/>
      <c r="Q9" s="10" t="s">
        <v>4</v>
      </c>
      <c r="R9" s="13" t="s">
        <v>13</v>
      </c>
      <c r="S9" s="14">
        <f>0.3*10^-9</f>
        <v>3E-10</v>
      </c>
    </row>
    <row r="10" spans="1:19" ht="14.25" customHeight="1">
      <c r="A10" s="22"/>
      <c r="B10" s="27"/>
      <c r="C10" s="28" t="s">
        <v>59</v>
      </c>
      <c r="D10" s="31">
        <v>0.99</v>
      </c>
      <c r="E10" s="28"/>
      <c r="F10" s="28"/>
      <c r="G10" s="28"/>
      <c r="H10" s="30"/>
      <c r="K10">
        <f>IF(D11="TCXO",1,IF(D11="OCXO",2,"ERROR"))</f>
        <v>2</v>
      </c>
      <c r="N10" s="21">
        <f>Uncertainty/10^9</f>
        <v>4.9999999999999998E-8</v>
      </c>
      <c r="P10" s="9"/>
      <c r="Q10" s="10" t="s">
        <v>5</v>
      </c>
      <c r="R10" s="13">
        <f>0.2*10^-6</f>
        <v>1.9999999999999999E-7</v>
      </c>
      <c r="S10" s="13">
        <f>10*10^-9</f>
        <v>1E-8</v>
      </c>
    </row>
    <row r="11" spans="1:19" ht="14.25" customHeight="1">
      <c r="A11" s="22"/>
      <c r="B11" s="27"/>
      <c r="C11" s="28" t="s">
        <v>41</v>
      </c>
      <c r="D11" s="32" t="s">
        <v>70</v>
      </c>
      <c r="E11" s="28"/>
      <c r="F11" s="28"/>
      <c r="G11" s="28"/>
      <c r="H11" s="30"/>
      <c r="K11">
        <f>IF(D12="User-specified",1,IF(D12="Calculated",2,"Bad Inst Lock Value"))</f>
        <v>2</v>
      </c>
      <c r="P11" s="9"/>
      <c r="Q11" s="10" t="s">
        <v>6</v>
      </c>
      <c r="R11" s="13">
        <f>10^-6</f>
        <v>9.9999999999999995E-7</v>
      </c>
      <c r="S11" s="13">
        <f>5*10^-8</f>
        <v>4.9999999999999998E-8</v>
      </c>
    </row>
    <row r="12" spans="1:19" ht="14.25" customHeight="1">
      <c r="A12" s="22"/>
      <c r="B12" s="27"/>
      <c r="C12" s="28" t="s">
        <v>44</v>
      </c>
      <c r="D12" s="32" t="s">
        <v>86</v>
      </c>
      <c r="E12" s="28"/>
      <c r="F12" s="28"/>
      <c r="G12" s="28"/>
      <c r="H12" s="30"/>
      <c r="K12">
        <f>IF(D14="24-hour",1,IF(D14="30-day",2,IF(D14="1-year",3,"Incorrect Aging Value")))</f>
        <v>3</v>
      </c>
      <c r="P12" s="9"/>
      <c r="Q12" s="10"/>
      <c r="R12" s="13"/>
      <c r="S12" s="13"/>
    </row>
    <row r="13" spans="1:19" ht="14.25" customHeight="1">
      <c r="A13" s="22"/>
      <c r="B13" s="27"/>
      <c r="C13" s="28" t="s">
        <v>43</v>
      </c>
      <c r="D13" s="32">
        <v>0</v>
      </c>
      <c r="E13" s="28" t="s">
        <v>15</v>
      </c>
      <c r="F13" s="28"/>
      <c r="G13" s="28"/>
      <c r="H13" s="30"/>
      <c r="K13">
        <f>IF(D15="0ºC to 55ºC rel to 25ºC",1,IF(D15="TCAL ± 5ºC",2,"Incorrect Temperature"))</f>
        <v>1</v>
      </c>
      <c r="P13" s="9"/>
      <c r="Q13" s="11"/>
      <c r="R13" s="13"/>
      <c r="S13" s="15"/>
    </row>
    <row r="14" spans="1:19" ht="14.25" customHeight="1">
      <c r="A14" s="22"/>
      <c r="B14" s="27"/>
      <c r="C14" s="28" t="s">
        <v>56</v>
      </c>
      <c r="D14" s="32" t="s">
        <v>42</v>
      </c>
      <c r="E14" s="28"/>
      <c r="F14" s="28"/>
      <c r="G14" s="28"/>
      <c r="H14" s="30"/>
      <c r="K14" t="str">
        <f>IF(D16="Settability",1,IF(D16="Initial Factory Cal",2,"Incorrect Uncertainty Value"))</f>
        <v>Incorrect Uncertainty Value</v>
      </c>
      <c r="P14" s="5" t="s">
        <v>7</v>
      </c>
      <c r="Q14" s="6"/>
      <c r="R14" s="16"/>
      <c r="S14" s="17"/>
    </row>
    <row r="15" spans="1:19" ht="14.25" customHeight="1">
      <c r="A15" s="22"/>
      <c r="B15" s="27"/>
      <c r="C15" s="28" t="s">
        <v>57</v>
      </c>
      <c r="D15" s="32" t="s">
        <v>36</v>
      </c>
      <c r="E15" s="28"/>
      <c r="F15" s="28"/>
      <c r="G15" s="28"/>
      <c r="H15" s="30"/>
      <c r="K15">
        <f>IF(D17="5 V",500*10^-6,IF(D17="50 V",5000*10^-6,"Incorrect Voltage Range"))</f>
        <v>5.0000000000000001E-4</v>
      </c>
      <c r="P15" s="9"/>
      <c r="Q15" s="12" t="s">
        <v>8</v>
      </c>
      <c r="R15" s="14">
        <f>10^-6</f>
        <v>9.9999999999999995E-7</v>
      </c>
      <c r="S15" s="14">
        <f>5*10^-9</f>
        <v>5.0000000000000001E-9</v>
      </c>
    </row>
    <row r="16" spans="1:19" ht="14.25" customHeight="1">
      <c r="A16" s="22"/>
      <c r="B16" s="27"/>
      <c r="C16" s="28" t="s">
        <v>64</v>
      </c>
      <c r="D16" s="32">
        <v>50</v>
      </c>
      <c r="E16" s="28" t="s">
        <v>63</v>
      </c>
      <c r="F16" s="28"/>
      <c r="G16" s="28"/>
      <c r="H16" s="30"/>
      <c r="P16" s="9"/>
      <c r="Q16" s="12" t="s">
        <v>9</v>
      </c>
      <c r="R16" s="13">
        <f>10^-6/2</f>
        <v>4.9999999999999998E-7</v>
      </c>
      <c r="S16" s="14">
        <f>5*10^-10</f>
        <v>5.0000000000000003E-10</v>
      </c>
    </row>
    <row r="17" spans="1:19" ht="14.25" customHeight="1">
      <c r="A17" s="22"/>
      <c r="B17" s="27"/>
      <c r="C17" s="28" t="s">
        <v>55</v>
      </c>
      <c r="D17" s="32" t="s">
        <v>38</v>
      </c>
      <c r="E17" s="28"/>
      <c r="F17" s="28"/>
      <c r="G17" s="28"/>
      <c r="H17" s="30"/>
      <c r="P17" s="9"/>
      <c r="Q17" s="12"/>
      <c r="R17" s="13"/>
      <c r="S17" s="15"/>
    </row>
    <row r="18" spans="1:19" ht="14.25" customHeight="1">
      <c r="A18" s="22"/>
      <c r="B18" s="27"/>
      <c r="C18" s="28" t="s">
        <v>87</v>
      </c>
      <c r="D18" s="28">
        <f>IF(Model="53210A",100,IF(Model="53220A",100,IF(Model="53230A",20,"Incorrect Model")))</f>
        <v>100</v>
      </c>
      <c r="E18" s="28" t="s">
        <v>31</v>
      </c>
      <c r="F18" s="28"/>
      <c r="G18" s="28"/>
      <c r="H18" s="30"/>
      <c r="N18" t="e">
        <f>M21+(Gate_time-L21)/(N22-L21)*(O22-M21)</f>
        <v>#N/A</v>
      </c>
      <c r="P18" s="5" t="s">
        <v>10</v>
      </c>
      <c r="Q18" s="6"/>
      <c r="R18" s="17"/>
      <c r="S18" s="17"/>
    </row>
    <row r="19" spans="1:19" ht="14.25" customHeight="1">
      <c r="A19" s="22"/>
      <c r="B19" s="27"/>
      <c r="C19" s="28" t="s">
        <v>54</v>
      </c>
      <c r="D19" s="32">
        <v>5</v>
      </c>
      <c r="E19" s="28" t="s">
        <v>39</v>
      </c>
      <c r="F19" s="28"/>
      <c r="G19" s="28"/>
      <c r="H19" s="30"/>
      <c r="P19" s="9"/>
      <c r="Q19" s="12" t="s">
        <v>11</v>
      </c>
      <c r="R19" s="14">
        <f>10^-10</f>
        <v>1E-10</v>
      </c>
      <c r="S19" s="14">
        <f>0.01*10^-9</f>
        <v>1.0000000000000001E-11</v>
      </c>
    </row>
    <row r="20" spans="1:19" ht="14.25" customHeight="1">
      <c r="A20" s="22"/>
      <c r="B20" s="27"/>
      <c r="C20" s="28" t="s">
        <v>53</v>
      </c>
      <c r="D20" s="32" t="s">
        <v>67</v>
      </c>
      <c r="E20" s="28"/>
      <c r="F20" s="28"/>
      <c r="G20" s="28"/>
      <c r="H20" s="30"/>
      <c r="P20" s="9"/>
      <c r="Q20" s="12" t="s">
        <v>12</v>
      </c>
      <c r="R20" s="13">
        <f>10^-6/2</f>
        <v>4.9999999999999998E-7</v>
      </c>
      <c r="S20" s="13">
        <f>50*10^-9</f>
        <v>5.0000000000000004E-8</v>
      </c>
    </row>
    <row r="21" spans="1:19" ht="14.25" customHeight="1">
      <c r="A21" s="22"/>
      <c r="B21" s="27"/>
      <c r="C21" s="28" t="s">
        <v>52</v>
      </c>
      <c r="D21" s="33">
        <f>20000000*PI()</f>
        <v>62831853.071795866</v>
      </c>
      <c r="E21" s="28" t="s">
        <v>37</v>
      </c>
      <c r="F21" s="28"/>
      <c r="G21" s="28"/>
      <c r="H21" s="30"/>
      <c r="K21">
        <f>IF(Gate_time&lt;K35,L35,IF(Gate_time&gt;=K38,L38,N18))</f>
        <v>6</v>
      </c>
      <c r="L21">
        <f>VLOOKUP(Gate_time,K35:L38,1)</f>
        <v>1</v>
      </c>
      <c r="M21">
        <f>VLOOKUP(L21,K35:L38,2)</f>
        <v>6</v>
      </c>
    </row>
    <row r="22" spans="1:19" ht="14.25" customHeight="1">
      <c r="A22" s="22"/>
      <c r="B22" s="27"/>
      <c r="C22" s="28" t="s">
        <v>73</v>
      </c>
      <c r="D22" s="34">
        <f>IF(D20="Square Wave",0,IF(D20="Sine Wave",K15/(2*PI()*FreqIn*D19)*10^12,IF(D20="Other",(K15/D21)*10^12,"Incorrect Waveshape")))</f>
        <v>0</v>
      </c>
      <c r="E22" s="28" t="s">
        <v>31</v>
      </c>
      <c r="F22" s="28"/>
      <c r="G22" s="28"/>
      <c r="H22" s="30"/>
      <c r="K22">
        <f>SQRT(FreqIn*Gate_time/16)</f>
        <v>2500</v>
      </c>
      <c r="L22" s="20"/>
      <c r="M22">
        <f>IF(RecipMode="Yes",1,MIN(K21,MAX(K22,L23)))</f>
        <v>1</v>
      </c>
      <c r="N22" t="e">
        <f>VLOOKUP(VLOOKUP(Gate_time,K35:M38,3),K35:L38,1)</f>
        <v>#N/A</v>
      </c>
      <c r="O22" t="e">
        <f>VLOOKUP(N22,K35:L38,2)</f>
        <v>#N/A</v>
      </c>
    </row>
    <row r="23" spans="1:19" ht="14.25" customHeight="1">
      <c r="A23" s="22"/>
      <c r="B23" s="27"/>
      <c r="C23" s="28" t="s">
        <v>74</v>
      </c>
      <c r="D23" s="35" t="s">
        <v>69</v>
      </c>
      <c r="E23" s="28"/>
      <c r="F23" s="28"/>
      <c r="G23" s="28"/>
      <c r="H23" s="30"/>
      <c r="K23">
        <f>0.002*D24+0.001*VALUE(MID(D$17,1,FIND(" ",D$17)-1))</f>
        <v>5.0000000000000001E-3</v>
      </c>
    </row>
    <row r="24" spans="1:19" ht="14.25" customHeight="1">
      <c r="A24" s="22"/>
      <c r="B24" s="27"/>
      <c r="C24" s="28" t="s">
        <v>72</v>
      </c>
      <c r="D24" s="35">
        <v>0</v>
      </c>
      <c r="E24" s="28" t="s">
        <v>39</v>
      </c>
      <c r="F24" s="28"/>
      <c r="G24" s="28"/>
      <c r="H24" s="30"/>
      <c r="K24">
        <f>0.002*D25+0.001*VALUE(MID(D$17,1,FIND(" ",D$17)-1))</f>
        <v>5.0000000000000001E-3</v>
      </c>
    </row>
    <row r="25" spans="1:19" ht="14.25" customHeight="1">
      <c r="A25" s="22"/>
      <c r="B25" s="27"/>
      <c r="C25" s="28" t="s">
        <v>60</v>
      </c>
      <c r="D25" s="35">
        <v>0</v>
      </c>
      <c r="E25" s="28" t="s">
        <v>39</v>
      </c>
      <c r="F25" s="28"/>
      <c r="G25" s="28"/>
      <c r="H25" s="30"/>
    </row>
    <row r="26" spans="1:19" ht="14.25" customHeight="1">
      <c r="A26" s="22"/>
      <c r="B26" s="27"/>
      <c r="C26" s="28" t="s">
        <v>75</v>
      </c>
      <c r="D26" s="33">
        <f>20000000*PI()</f>
        <v>62831853.071795866</v>
      </c>
      <c r="E26" s="28" t="s">
        <v>37</v>
      </c>
      <c r="F26" s="28"/>
      <c r="G26" s="28"/>
      <c r="H26" s="30"/>
    </row>
    <row r="27" spans="1:19" ht="14.25" customHeight="1">
      <c r="A27" s="22"/>
      <c r="B27" s="27"/>
      <c r="C27" s="28" t="s">
        <v>76</v>
      </c>
      <c r="D27" s="33">
        <f>20000000*PI()</f>
        <v>62831853.071795866</v>
      </c>
      <c r="E27" s="28" t="s">
        <v>37</v>
      </c>
      <c r="F27" s="28"/>
      <c r="G27" s="28"/>
      <c r="H27" s="30"/>
      <c r="K27">
        <f>IF(D28="On",0.04,IF(D28="Off",0.02,"Bad NoiseRej Value"))*IF(FreqIn&gt;10^8,2,1)</f>
        <v>0.02</v>
      </c>
      <c r="L27" t="s">
        <v>62</v>
      </c>
    </row>
    <row r="28" spans="1:19" ht="14.25" customHeight="1">
      <c r="A28" s="22"/>
      <c r="B28" s="27"/>
      <c r="C28" s="28" t="s">
        <v>47</v>
      </c>
      <c r="D28" s="35" t="s">
        <v>68</v>
      </c>
      <c r="E28" s="28"/>
      <c r="F28" s="28"/>
      <c r="G28" s="28"/>
      <c r="H28" s="30"/>
      <c r="K28">
        <f>IF(D23="No",0,IF(D23="Yes",D24/D26+D25/D27+0.5*K27*(1/D26-1/D27),"Bad Include TLTE"))</f>
        <v>0</v>
      </c>
      <c r="L28" t="s">
        <v>61</v>
      </c>
    </row>
    <row r="29" spans="1:19" ht="14.25" customHeight="1">
      <c r="A29" s="22"/>
      <c r="B29" s="27"/>
      <c r="C29" s="28" t="s">
        <v>48</v>
      </c>
      <c r="D29" s="32">
        <v>1</v>
      </c>
      <c r="E29" s="28" t="s">
        <v>29</v>
      </c>
      <c r="F29" s="28"/>
      <c r="G29" s="28"/>
      <c r="H29" s="30"/>
    </row>
    <row r="30" spans="1:19" ht="14.25" customHeight="1">
      <c r="A30" s="22"/>
      <c r="B30" s="27"/>
      <c r="C30" s="28" t="s">
        <v>49</v>
      </c>
      <c r="D30" s="33">
        <v>100000000</v>
      </c>
      <c r="E30" s="28" t="s">
        <v>28</v>
      </c>
      <c r="F30" s="28"/>
      <c r="G30" s="28"/>
      <c r="H30" s="30"/>
    </row>
    <row r="31" spans="1:19" ht="14.25" customHeight="1">
      <c r="A31" s="22"/>
      <c r="B31" s="27"/>
      <c r="C31" s="28" t="s">
        <v>71</v>
      </c>
      <c r="D31" s="33"/>
      <c r="E31" s="28"/>
      <c r="F31" s="28"/>
      <c r="G31" s="28"/>
      <c r="H31" s="30"/>
    </row>
    <row r="32" spans="1:19" ht="14.25" customHeight="1">
      <c r="A32" s="22"/>
      <c r="B32" s="27"/>
      <c r="C32" s="28" t="s">
        <v>50</v>
      </c>
      <c r="D32" s="36">
        <f>5*10^-9</f>
        <v>5.0000000000000001E-9</v>
      </c>
      <c r="E32" s="28" t="s">
        <v>34</v>
      </c>
      <c r="F32" s="28"/>
      <c r="G32" s="28"/>
      <c r="H32" s="30"/>
    </row>
    <row r="33" spans="1:14" ht="14.25" customHeight="1">
      <c r="A33" s="22"/>
      <c r="B33" s="27"/>
      <c r="C33" s="28" t="s">
        <v>51</v>
      </c>
      <c r="D33" s="36" t="s">
        <v>40</v>
      </c>
      <c r="E33" s="28"/>
      <c r="F33" s="28"/>
      <c r="G33" s="28"/>
      <c r="H33" s="30"/>
    </row>
    <row r="34" spans="1:14" ht="6.75" customHeight="1" thickBot="1">
      <c r="A34" s="22"/>
      <c r="B34" s="27"/>
      <c r="C34" s="37"/>
      <c r="D34" s="28"/>
      <c r="E34" s="28"/>
      <c r="F34" s="28"/>
      <c r="G34" s="28"/>
      <c r="H34" s="30"/>
      <c r="K34" t="s">
        <v>32</v>
      </c>
    </row>
    <row r="35" spans="1:14" ht="14.25" customHeight="1">
      <c r="A35" s="22"/>
      <c r="B35" s="27"/>
      <c r="C35" s="68" t="s">
        <v>33</v>
      </c>
      <c r="D35" s="38" t="s">
        <v>26</v>
      </c>
      <c r="E35" s="39"/>
      <c r="F35" s="40">
        <f>1.4*SQRT((Tss/10^12)^2+(Te/10^12)^2)/(RE*Gate_time)</f>
        <v>1.4000000000000001E-10</v>
      </c>
      <c r="G35" s="40"/>
      <c r="H35" s="30"/>
      <c r="K35" s="18">
        <v>1E-3</v>
      </c>
      <c r="L35" s="18">
        <v>1</v>
      </c>
      <c r="M35">
        <f>K36</f>
        <v>0.01</v>
      </c>
    </row>
    <row r="36" spans="1:14" ht="14.25" customHeight="1">
      <c r="A36" s="22"/>
      <c r="B36" s="27"/>
      <c r="C36" s="69"/>
      <c r="D36" s="38" t="s">
        <v>27</v>
      </c>
      <c r="E36" s="39"/>
      <c r="F36" s="40">
        <f>IF(RE&gt;=2,2*10^-12,10^-10)/Gate_time</f>
        <v>1E-10</v>
      </c>
      <c r="G36" s="40"/>
      <c r="H36" s="30"/>
      <c r="K36" s="18">
        <v>0.01</v>
      </c>
      <c r="L36" s="18">
        <v>2</v>
      </c>
      <c r="M36">
        <f>K37</f>
        <v>0.1</v>
      </c>
    </row>
    <row r="37" spans="1:14" ht="14.25" customHeight="1" thickBot="1">
      <c r="A37" s="22"/>
      <c r="B37" s="27"/>
      <c r="C37" s="70"/>
      <c r="D37" s="38" t="s">
        <v>14</v>
      </c>
      <c r="E37" s="38"/>
      <c r="F37" s="40">
        <f>IF(K11=1,D13,IF(K11=2,SUM(N8:N10)*10^6,"Incorrect TB Uncert"))</f>
        <v>0.105</v>
      </c>
      <c r="G37" s="40" t="s">
        <v>15</v>
      </c>
      <c r="H37" s="30"/>
      <c r="K37" s="18">
        <v>0.1</v>
      </c>
      <c r="L37" s="18">
        <v>4</v>
      </c>
      <c r="M37">
        <f>K38</f>
        <v>1</v>
      </c>
    </row>
    <row r="38" spans="1:14" ht="14.25" customHeight="1">
      <c r="A38" s="22"/>
      <c r="B38" s="27"/>
      <c r="C38" s="41" t="str">
        <f>"(RE = "&amp;RE&amp;")"</f>
        <v>(RE = 1)</v>
      </c>
      <c r="D38" s="38" t="s">
        <v>14</v>
      </c>
      <c r="E38" s="38"/>
      <c r="F38" s="40">
        <f>Timebase_Uncert/10^6*FreqIn</f>
        <v>10.5</v>
      </c>
      <c r="G38" s="40" t="s">
        <v>28</v>
      </c>
      <c r="H38" s="30"/>
      <c r="K38" s="18">
        <v>1</v>
      </c>
      <c r="L38" s="18">
        <v>6</v>
      </c>
    </row>
    <row r="39" spans="1:14" ht="14.25" customHeight="1">
      <c r="A39" s="22"/>
      <c r="B39" s="27"/>
      <c r="C39" s="42"/>
      <c r="D39" s="38" t="s">
        <v>30</v>
      </c>
      <c r="E39" s="38"/>
      <c r="F39" s="40">
        <f>K9*Rand_Uncert+Syst_Uncert+Timebase_Uncert/10^6</f>
        <v>1.0544999999999999E-7</v>
      </c>
      <c r="G39" s="40"/>
      <c r="H39" s="30"/>
    </row>
    <row r="40" spans="1:14" ht="6.75" customHeight="1" thickBot="1">
      <c r="A40" s="22"/>
      <c r="B40" s="27"/>
      <c r="C40" s="37"/>
      <c r="D40" s="37"/>
      <c r="E40" s="37"/>
      <c r="F40" s="43"/>
      <c r="G40" s="43"/>
      <c r="H40" s="30"/>
    </row>
    <row r="41" spans="1:14" ht="14.25" customHeight="1">
      <c r="A41" s="22"/>
      <c r="B41" s="27"/>
      <c r="C41" s="71" t="s">
        <v>77</v>
      </c>
      <c r="D41" s="44" t="s">
        <v>26</v>
      </c>
      <c r="E41" s="44"/>
      <c r="F41" s="45">
        <f>IF(D8="53210A","N/A",1.4*SQRT((Tss/10^12)^2+(Te/10^12)^2)/TI_Measurement)</f>
        <v>2.8000000000000001E-2</v>
      </c>
      <c r="G41" s="45"/>
      <c r="H41" s="30"/>
    </row>
    <row r="42" spans="1:14" ht="14.25" customHeight="1">
      <c r="A42" s="22"/>
      <c r="B42" s="27"/>
      <c r="C42" s="72"/>
      <c r="D42" s="44" t="s">
        <v>27</v>
      </c>
      <c r="E42" s="44"/>
      <c r="F42" s="45">
        <f>IF(D8="53210A","N/A",(K28+M42/10^12+M43/10^12)/TI_Measurement)</f>
        <v>0.04</v>
      </c>
      <c r="G42" s="45"/>
      <c r="H42" s="30"/>
      <c r="L42" t="s">
        <v>45</v>
      </c>
      <c r="M42">
        <f>IF(D33="Single-channel",0,IF(D33="Dual-channel",INDEX(L46:N49,3,K8),"Bad TI Meas"))</f>
        <v>0</v>
      </c>
    </row>
    <row r="43" spans="1:14" ht="14.25" customHeight="1" thickBot="1">
      <c r="A43" s="22"/>
      <c r="B43" s="27"/>
      <c r="C43" s="73"/>
      <c r="D43" s="44" t="s">
        <v>14</v>
      </c>
      <c r="E43" s="44"/>
      <c r="F43" s="45">
        <f>IF(D8="53210A","N/A",IF(K11=1,D13,IF(K11=2,Timebase_Uncert,"Incorrect TB Uncert")))</f>
        <v>0.105</v>
      </c>
      <c r="G43" s="45" t="s">
        <v>15</v>
      </c>
      <c r="H43" s="30"/>
      <c r="L43" t="s">
        <v>46</v>
      </c>
      <c r="M43">
        <f>INDEX(L46:N49,4,K8)</f>
        <v>200</v>
      </c>
    </row>
    <row r="44" spans="1:14" ht="14.25" customHeight="1">
      <c r="A44" s="22"/>
      <c r="B44" s="27"/>
      <c r="C44" s="46"/>
      <c r="D44" s="44" t="s">
        <v>14</v>
      </c>
      <c r="E44" s="44"/>
      <c r="F44" s="45">
        <f>IF(D8="53210A","N/A",F43/10^6*FreqIn)</f>
        <v>10.5</v>
      </c>
      <c r="G44" s="45" t="s">
        <v>28</v>
      </c>
      <c r="H44" s="30"/>
    </row>
    <row r="45" spans="1:14" ht="14.25" customHeight="1">
      <c r="A45" s="22"/>
      <c r="B45" s="27"/>
      <c r="C45" s="47"/>
      <c r="D45" s="44" t="s">
        <v>30</v>
      </c>
      <c r="E45" s="44"/>
      <c r="F45" s="45">
        <f>IF(D8="53210A","N/A",K9*F41+F42+F43/10^6)</f>
        <v>0.11000010500000001</v>
      </c>
      <c r="G45" s="45"/>
      <c r="H45" s="30"/>
      <c r="L45" t="s">
        <v>16</v>
      </c>
      <c r="M45" t="s">
        <v>17</v>
      </c>
      <c r="N45" t="s">
        <v>18</v>
      </c>
    </row>
    <row r="46" spans="1:14" ht="14.25" customHeight="1" thickBot="1">
      <c r="A46" s="22"/>
      <c r="B46" s="48"/>
      <c r="C46" s="74" t="s">
        <v>78</v>
      </c>
      <c r="D46" s="74"/>
      <c r="E46" s="74"/>
      <c r="F46" s="74"/>
      <c r="G46" s="49"/>
      <c r="H46" s="50"/>
      <c r="K46" t="s">
        <v>19</v>
      </c>
      <c r="L46">
        <v>1</v>
      </c>
      <c r="M46" t="s">
        <v>20</v>
      </c>
      <c r="N46" t="s">
        <v>20</v>
      </c>
    </row>
    <row r="47" spans="1:14" ht="14.25" customHeight="1" thickTop="1">
      <c r="K47" t="s">
        <v>21</v>
      </c>
      <c r="L47">
        <v>100</v>
      </c>
      <c r="M47">
        <v>100</v>
      </c>
      <c r="N47">
        <v>20</v>
      </c>
    </row>
    <row r="48" spans="1:14" ht="14.25" customHeight="1">
      <c r="K48" t="s">
        <v>22</v>
      </c>
      <c r="L48" t="s">
        <v>24</v>
      </c>
      <c r="M48">
        <v>100</v>
      </c>
      <c r="N48">
        <v>50</v>
      </c>
    </row>
    <row r="49" spans="6:14" ht="14.25" customHeight="1">
      <c r="F49" s="19"/>
      <c r="K49" t="s">
        <v>23</v>
      </c>
      <c r="L49" t="s">
        <v>24</v>
      </c>
      <c r="M49">
        <v>200</v>
      </c>
      <c r="N49">
        <v>100</v>
      </c>
    </row>
  </sheetData>
  <sheetProtection selectLockedCells="1"/>
  <mergeCells count="5">
    <mergeCell ref="B5:H5"/>
    <mergeCell ref="B6:H6"/>
    <mergeCell ref="C35:C37"/>
    <mergeCell ref="C41:C43"/>
    <mergeCell ref="C46:F46"/>
  </mergeCells>
  <conditionalFormatting sqref="D14:D15">
    <cfRule type="expression" dxfId="7" priority="12">
      <formula>$D$12="User-specified"</formula>
    </cfRule>
  </conditionalFormatting>
  <conditionalFormatting sqref="D21 D26:D27">
    <cfRule type="expression" dxfId="6" priority="10">
      <formula>$D$20&lt;&gt;"Other"</formula>
    </cfRule>
  </conditionalFormatting>
  <conditionalFormatting sqref="D13">
    <cfRule type="expression" dxfId="5" priority="9">
      <formula>$D$12="Calculated"</formula>
    </cfRule>
  </conditionalFormatting>
  <conditionalFormatting sqref="F41:F45">
    <cfRule type="expression" dxfId="4" priority="8">
      <formula>$D$8="53210A"</formula>
    </cfRule>
  </conditionalFormatting>
  <conditionalFormatting sqref="D24:D28">
    <cfRule type="expression" dxfId="3" priority="7">
      <formula>$D$23="No"</formula>
    </cfRule>
  </conditionalFormatting>
  <conditionalFormatting sqref="G43">
    <cfRule type="expression" dxfId="2" priority="3">
      <formula>$D$8="53210A"</formula>
    </cfRule>
  </conditionalFormatting>
  <conditionalFormatting sqref="G44">
    <cfRule type="expression" dxfId="1" priority="2">
      <formula>$D$8="53210A"</formula>
    </cfRule>
  </conditionalFormatting>
  <conditionalFormatting sqref="D9">
    <cfRule type="expression" dxfId="0" priority="1">
      <formula>$D$8="53210A"</formula>
    </cfRule>
  </conditionalFormatting>
  <dataValidations count="14">
    <dataValidation type="list" allowBlank="1" showInputMessage="1" showErrorMessage="1" sqref="D11">
      <formula1>"TCXO,OCXO"</formula1>
    </dataValidation>
    <dataValidation type="list" allowBlank="1" showInputMessage="1" showErrorMessage="1" sqref="D14">
      <formula1>"24-hour,30-day,1-year"</formula1>
    </dataValidation>
    <dataValidation type="list" allowBlank="1" showInputMessage="1" showErrorMessage="1" sqref="D15">
      <formula1>"0ºC to 55ºC rel to 25ºC,TCAL ± 5ºC"</formula1>
    </dataValidation>
    <dataValidation type="list" allowBlank="1" showInputMessage="1" showErrorMessage="1" sqref="D8">
      <formula1>"53210A,53220A,53230A"</formula1>
    </dataValidation>
    <dataValidation type="list" allowBlank="1" showInputMessage="1" showErrorMessage="1" sqref="D10">
      <formula1>"95%,99%"</formula1>
    </dataValidation>
    <dataValidation type="list" allowBlank="1" showInputMessage="1" showErrorMessage="1" sqref="D17">
      <formula1>"5 V,50 V"</formula1>
    </dataValidation>
    <dataValidation type="list" allowBlank="1" showInputMessage="1" showErrorMessage="1" sqref="D20">
      <formula1>"Square Wave,Sine Wave,Other"</formula1>
    </dataValidation>
    <dataValidation type="decimal" operator="greaterThanOrEqual" allowBlank="1" showInputMessage="1" showErrorMessage="1" sqref="D19">
      <formula1>0</formula1>
    </dataValidation>
    <dataValidation type="list" allowBlank="1" showInputMessage="1" showErrorMessage="1" sqref="D33">
      <formula1>"Single-channel,Dual-channel"</formula1>
    </dataValidation>
    <dataValidation type="list" allowBlank="1" showInputMessage="1" showErrorMessage="1" sqref="D12">
      <formula1>"Calculated,User-specified"</formula1>
    </dataValidation>
    <dataValidation type="list" allowBlank="1" showInputMessage="1" showErrorMessage="1" sqref="D23">
      <formula1>"Yes,No"</formula1>
    </dataValidation>
    <dataValidation type="list" allowBlank="1" showInputMessage="1" showErrorMessage="1" sqref="D28">
      <formula1>"On,Off"</formula1>
    </dataValidation>
    <dataValidation type="list" allowBlank="1" showInputMessage="1" showErrorMessage="1" sqref="D9">
      <formula1>"Yes,No"</formula1>
    </dataValidation>
    <dataValidation type="list" allowBlank="1" showInputMessage="1" showErrorMessage="1" sqref="D31">
      <formula1>"2 ns &lt; Pulse Width &lt;5ns,&gt;=5ns"</formula1>
    </dataValidation>
  </dataValidations>
  <hyperlinks>
    <hyperlink ref="B2" r:id="rId1"/>
    <hyperlink ref="B3" r:id="rId2"/>
  </hyperlinks>
  <pageMargins left="0.31" right="0.22" top="0.33" bottom="0.37" header="0.3" footer="0.3"/>
  <pageSetup scale="52" orientation="landscape" r:id="rId3"/>
  <legacyDrawing r:id="rId4"/>
</worksheet>
</file>

<file path=xl/worksheets/sheet2.xml><?xml version="1.0" encoding="utf-8"?>
<worksheet xmlns="http://schemas.openxmlformats.org/spreadsheetml/2006/main" xmlns:r="http://schemas.openxmlformats.org/officeDocument/2006/relationships">
  <dimension ref="A1:H24"/>
  <sheetViews>
    <sheetView zoomScale="120" zoomScaleNormal="120" workbookViewId="0">
      <selection activeCell="F7" sqref="F7:F8"/>
    </sheetView>
  </sheetViews>
  <sheetFormatPr defaultRowHeight="15.75"/>
  <cols>
    <col min="1" max="1" width="4.140625" style="22" customWidth="1"/>
    <col min="2" max="2" width="3.28515625" style="22" customWidth="1"/>
    <col min="3" max="3" width="52.42578125" style="22" customWidth="1"/>
    <col min="4" max="4" width="24" style="22" customWidth="1"/>
    <col min="5" max="5" width="11.5703125" style="22" customWidth="1"/>
    <col min="6" max="6" width="18.42578125" style="22" customWidth="1"/>
    <col min="7" max="7" width="6.140625" style="22" customWidth="1"/>
    <col min="8" max="8" width="1.42578125" style="22" customWidth="1"/>
    <col min="9" max="16384" width="9.140625" style="22"/>
  </cols>
  <sheetData>
    <row r="1" spans="1:8">
      <c r="A1" s="28"/>
      <c r="B1" s="51"/>
      <c r="C1" s="51"/>
      <c r="D1" s="51"/>
      <c r="E1" s="51"/>
      <c r="F1" s="51"/>
      <c r="G1" s="51"/>
      <c r="H1" s="28"/>
    </row>
    <row r="2" spans="1:8">
      <c r="A2" s="28"/>
      <c r="B2" s="51"/>
      <c r="C2" s="60" t="s">
        <v>84</v>
      </c>
      <c r="D2" s="59">
        <v>1.0000000000000001E-9</v>
      </c>
      <c r="E2" s="58" t="s">
        <v>29</v>
      </c>
      <c r="F2" s="51"/>
      <c r="G2" s="51"/>
      <c r="H2" s="28"/>
    </row>
    <row r="3" spans="1:8">
      <c r="A3" s="28"/>
      <c r="B3" s="51"/>
      <c r="C3" s="60" t="s">
        <v>83</v>
      </c>
      <c r="D3" s="59">
        <v>1.0000000000000001E-9</v>
      </c>
      <c r="E3" s="58" t="s">
        <v>29</v>
      </c>
      <c r="F3" s="51"/>
      <c r="G3" s="51"/>
      <c r="H3" s="28"/>
    </row>
    <row r="4" spans="1:8">
      <c r="A4" s="28"/>
      <c r="B4" s="51"/>
      <c r="C4" s="51"/>
      <c r="D4" s="51"/>
      <c r="E4" s="51"/>
      <c r="F4" s="51"/>
      <c r="G4" s="51"/>
      <c r="H4" s="28"/>
    </row>
    <row r="5" spans="1:8">
      <c r="A5" s="28"/>
      <c r="B5" s="52"/>
      <c r="C5" s="75" t="s">
        <v>80</v>
      </c>
      <c r="D5" s="52" t="s">
        <v>26</v>
      </c>
      <c r="E5" s="53">
        <f>2*(Tss/10^12+CarrierPeriod)/(RE*Gate_time)</f>
        <v>2.2000000000000003E-9</v>
      </c>
      <c r="F5" s="52"/>
      <c r="G5" s="52"/>
      <c r="H5" s="28"/>
    </row>
    <row r="6" spans="1:8">
      <c r="A6" s="28"/>
      <c r="B6" s="52"/>
      <c r="C6" s="75"/>
      <c r="D6" s="52" t="s">
        <v>27</v>
      </c>
      <c r="E6" s="53">
        <f>10^-10/(RE*Gate_time)</f>
        <v>1E-10</v>
      </c>
      <c r="F6" s="52"/>
      <c r="G6" s="52"/>
      <c r="H6" s="28"/>
    </row>
    <row r="7" spans="1:8">
      <c r="A7" s="28"/>
      <c r="B7" s="52"/>
      <c r="C7" s="75"/>
      <c r="D7" s="52" t="s">
        <v>14</v>
      </c>
      <c r="E7" s="53">
        <f>Timebase_Uncert</f>
        <v>0.105</v>
      </c>
      <c r="F7" s="53" t="s">
        <v>15</v>
      </c>
      <c r="G7" s="52"/>
      <c r="H7" s="28"/>
    </row>
    <row r="8" spans="1:8">
      <c r="A8" s="28"/>
      <c r="B8" s="52"/>
      <c r="C8" s="52"/>
      <c r="D8" s="52" t="s">
        <v>14</v>
      </c>
      <c r="E8" s="53">
        <f>Overview!F38</f>
        <v>10.5</v>
      </c>
      <c r="F8" s="53" t="s">
        <v>28</v>
      </c>
      <c r="G8" s="52"/>
      <c r="H8" s="28"/>
    </row>
    <row r="9" spans="1:8">
      <c r="A9" s="28"/>
      <c r="B9" s="52"/>
      <c r="C9" s="52"/>
      <c r="D9" s="52" t="s">
        <v>30</v>
      </c>
      <c r="E9" s="53">
        <f>Overview!K$9*E5+E6+E7/10^6</f>
        <v>1.106E-7</v>
      </c>
      <c r="F9" s="52"/>
      <c r="G9" s="52"/>
      <c r="H9" s="28"/>
    </row>
    <row r="10" spans="1:8">
      <c r="A10" s="28"/>
      <c r="B10" s="28"/>
      <c r="C10" s="28"/>
      <c r="D10" s="28"/>
      <c r="E10" s="28"/>
      <c r="F10" s="28"/>
      <c r="G10" s="28"/>
      <c r="H10" s="28"/>
    </row>
    <row r="11" spans="1:8">
      <c r="A11" s="28"/>
      <c r="B11" s="28"/>
      <c r="C11" s="28"/>
      <c r="D11" s="28"/>
      <c r="E11" s="28"/>
      <c r="F11" s="28"/>
      <c r="G11" s="28"/>
      <c r="H11" s="28"/>
    </row>
    <row r="12" spans="1:8">
      <c r="A12" s="28"/>
      <c r="B12" s="56"/>
      <c r="C12" s="76" t="s">
        <v>81</v>
      </c>
      <c r="D12" s="56" t="s">
        <v>26</v>
      </c>
      <c r="E12" s="57">
        <f>10*Tss/BurstWidth</f>
        <v>999999999999.99988</v>
      </c>
      <c r="F12" s="56"/>
      <c r="G12" s="56"/>
      <c r="H12" s="28"/>
    </row>
    <row r="13" spans="1:8">
      <c r="A13" s="28"/>
      <c r="B13" s="56"/>
      <c r="C13" s="77"/>
      <c r="D13" s="56" t="s">
        <v>27</v>
      </c>
      <c r="E13" s="57">
        <f>2*Taccuracy/BurstWidth</f>
        <v>400000000000</v>
      </c>
      <c r="F13" s="56"/>
      <c r="G13" s="56"/>
      <c r="H13" s="28"/>
    </row>
    <row r="14" spans="1:8">
      <c r="A14" s="28"/>
      <c r="B14" s="56"/>
      <c r="C14" s="77"/>
      <c r="D14" s="56" t="s">
        <v>14</v>
      </c>
      <c r="E14" s="57">
        <f>E7</f>
        <v>0.105</v>
      </c>
      <c r="F14" s="57" t="str">
        <f>F7</f>
        <v>ppm</v>
      </c>
      <c r="G14" s="56"/>
      <c r="H14" s="28"/>
    </row>
    <row r="15" spans="1:8">
      <c r="A15" s="28"/>
      <c r="B15" s="56"/>
      <c r="C15" s="56"/>
      <c r="D15" s="56" t="s">
        <v>14</v>
      </c>
      <c r="E15" s="57">
        <f>E8</f>
        <v>10.5</v>
      </c>
      <c r="F15" s="57" t="str">
        <f>F8</f>
        <v>Hz</v>
      </c>
      <c r="G15" s="56"/>
      <c r="H15" s="28"/>
    </row>
    <row r="16" spans="1:8">
      <c r="A16" s="28"/>
      <c r="B16" s="56"/>
      <c r="C16" s="56"/>
      <c r="D16" s="56" t="s">
        <v>30</v>
      </c>
      <c r="E16" s="57">
        <f>Overview!K$9*E12+E13+E14/10^6</f>
        <v>2899999999999.9995</v>
      </c>
      <c r="F16" s="56"/>
      <c r="G16" s="56"/>
      <c r="H16" s="28"/>
    </row>
    <row r="17" spans="1:8">
      <c r="A17" s="28"/>
      <c r="B17" s="28"/>
      <c r="C17" s="28"/>
      <c r="D17" s="28"/>
      <c r="E17" s="28"/>
      <c r="F17" s="28"/>
      <c r="G17" s="28"/>
      <c r="H17" s="28"/>
    </row>
    <row r="18" spans="1:8">
      <c r="A18" s="28"/>
      <c r="B18" s="28"/>
      <c r="C18" s="28"/>
      <c r="D18" s="28"/>
      <c r="E18" s="28"/>
      <c r="F18" s="28"/>
      <c r="G18" s="28"/>
      <c r="H18" s="28"/>
    </row>
    <row r="19" spans="1:8">
      <c r="A19" s="28"/>
      <c r="B19" s="54"/>
      <c r="C19" s="78" t="s">
        <v>82</v>
      </c>
      <c r="D19" s="54" t="s">
        <v>26</v>
      </c>
      <c r="E19" s="55">
        <f>2*Tss/(RE*BurstWidth)</f>
        <v>200000000000</v>
      </c>
      <c r="F19" s="54"/>
      <c r="G19" s="54"/>
      <c r="H19" s="28"/>
    </row>
    <row r="20" spans="1:8">
      <c r="A20" s="28"/>
      <c r="B20" s="54"/>
      <c r="C20" s="79"/>
      <c r="D20" s="54" t="s">
        <v>27</v>
      </c>
      <c r="E20" s="55">
        <f>IF(BurstWidth&lt;0.001,10^-10,10^-11)/BurstWidth</f>
        <v>9.9999999999999992E-2</v>
      </c>
      <c r="F20" s="54"/>
      <c r="G20" s="54"/>
      <c r="H20" s="28"/>
    </row>
    <row r="21" spans="1:8">
      <c r="A21" s="28"/>
      <c r="B21" s="54"/>
      <c r="C21" s="79"/>
      <c r="D21" s="54" t="s">
        <v>14</v>
      </c>
      <c r="E21" s="55">
        <f>E14</f>
        <v>0.105</v>
      </c>
      <c r="F21" s="55" t="str">
        <f>F14</f>
        <v>ppm</v>
      </c>
      <c r="G21" s="54"/>
      <c r="H21" s="28"/>
    </row>
    <row r="22" spans="1:8">
      <c r="A22" s="28"/>
      <c r="B22" s="54"/>
      <c r="C22" s="54"/>
      <c r="D22" s="54" t="s">
        <v>14</v>
      </c>
      <c r="E22" s="55">
        <f>E15</f>
        <v>10.5</v>
      </c>
      <c r="F22" s="55" t="str">
        <f>F15</f>
        <v>Hz</v>
      </c>
      <c r="G22" s="54"/>
      <c r="H22" s="28"/>
    </row>
    <row r="23" spans="1:8">
      <c r="A23" s="28"/>
      <c r="B23" s="54"/>
      <c r="C23" s="54"/>
      <c r="D23" s="54" t="s">
        <v>30</v>
      </c>
      <c r="E23" s="55">
        <f>Overview!K$9*E19+E20+E21/10^6</f>
        <v>500000000000.09998</v>
      </c>
      <c r="F23" s="54"/>
      <c r="G23" s="54"/>
      <c r="H23" s="28"/>
    </row>
    <row r="24" spans="1:8">
      <c r="A24" s="28"/>
      <c r="B24" s="28"/>
      <c r="C24" s="28"/>
      <c r="D24" s="28"/>
      <c r="E24" s="28"/>
      <c r="F24" s="28"/>
      <c r="G24" s="28"/>
      <c r="H24" s="28"/>
    </row>
  </sheetData>
  <mergeCells count="3">
    <mergeCell ref="C5:C7"/>
    <mergeCell ref="C12:C14"/>
    <mergeCell ref="C19:C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vt:i4>
      </vt:variant>
    </vt:vector>
  </HeadingPairs>
  <TitlesOfParts>
    <vt:vector size="21" baseType="lpstr">
      <vt:lpstr>Overview</vt:lpstr>
      <vt:lpstr>Option 150</vt:lpstr>
      <vt:lpstr>Aging</vt:lpstr>
      <vt:lpstr>BurstWidth</vt:lpstr>
      <vt:lpstr>CarrierPeriod</vt:lpstr>
      <vt:lpstr>Confidence</vt:lpstr>
      <vt:lpstr>FreqIn</vt:lpstr>
      <vt:lpstr>Gate_time</vt:lpstr>
      <vt:lpstr>Model</vt:lpstr>
      <vt:lpstr>Rand_Uncert</vt:lpstr>
      <vt:lpstr>RE</vt:lpstr>
      <vt:lpstr>RecipMode</vt:lpstr>
      <vt:lpstr>Syst_Uncert</vt:lpstr>
      <vt:lpstr>Taccuracy</vt:lpstr>
      <vt:lpstr>Te</vt:lpstr>
      <vt:lpstr>Temperature</vt:lpstr>
      <vt:lpstr>TI_Measurement</vt:lpstr>
      <vt:lpstr>Timebase</vt:lpstr>
      <vt:lpstr>Timebase_Uncert</vt:lpstr>
      <vt:lpstr>Tss</vt:lpstr>
      <vt:lpstr>Uncertainty</vt:lpstr>
    </vt:vector>
  </TitlesOfParts>
  <Company>Agilent Technologies,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Jolly</dc:creator>
  <cp:lastModifiedBy>Tami Pippert</cp:lastModifiedBy>
  <cp:lastPrinted>2010-10-19T16:50:45Z</cp:lastPrinted>
  <dcterms:created xsi:type="dcterms:W3CDTF">2010-07-29T22:06:04Z</dcterms:created>
  <dcterms:modified xsi:type="dcterms:W3CDTF">2010-12-06T21:35:43Z</dcterms:modified>
</cp:coreProperties>
</file>